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2735" windowHeight="8535"/>
  </bookViews>
  <sheets>
    <sheet name="6D Field Angles" sheetId="1" r:id="rId1"/>
  </sheets>
  <definedNames>
    <definedName name="Diagonal">'6D Field Angles'!$D$5</definedName>
    <definedName name="Film">'6D Field Angles'!$D$6</definedName>
    <definedName name="FL">#REF!</definedName>
    <definedName name="Horz">'6D Field Angles'!$D$2</definedName>
    <definedName name="HV">'6D Field Angles'!$D$4</definedName>
    <definedName name="Vert">'6D Field Angles'!$D$3</definedName>
  </definedNames>
  <calcPr calcId="125725"/>
</workbook>
</file>

<file path=xl/calcChain.xml><?xml version="1.0" encoding="utf-8"?>
<calcChain xmlns="http://schemas.openxmlformats.org/spreadsheetml/2006/main">
  <c r="F25" i="1"/>
  <c r="N12"/>
  <c r="O12"/>
  <c r="P12"/>
  <c r="B12"/>
  <c r="K12" s="1"/>
  <c r="L12" s="1"/>
  <c r="C12"/>
  <c r="D12"/>
  <c r="O36"/>
  <c r="N36"/>
  <c r="C36"/>
  <c r="B36"/>
  <c r="K36" s="1"/>
  <c r="O35"/>
  <c r="N35"/>
  <c r="C35"/>
  <c r="B35"/>
  <c r="K35" s="1"/>
  <c r="O34"/>
  <c r="N34"/>
  <c r="C34"/>
  <c r="B34"/>
  <c r="K34" s="1"/>
  <c r="O33"/>
  <c r="N33"/>
  <c r="C33"/>
  <c r="B33"/>
  <c r="K33" s="1"/>
  <c r="O32"/>
  <c r="N32"/>
  <c r="C32"/>
  <c r="B32"/>
  <c r="K32" s="1"/>
  <c r="O31"/>
  <c r="N31"/>
  <c r="C31"/>
  <c r="B31"/>
  <c r="K31" s="1"/>
  <c r="O30"/>
  <c r="N30"/>
  <c r="C30"/>
  <c r="B30"/>
  <c r="K30" s="1"/>
  <c r="O29"/>
  <c r="N29"/>
  <c r="C29"/>
  <c r="B29"/>
  <c r="K29" s="1"/>
  <c r="O28"/>
  <c r="N28"/>
  <c r="C28"/>
  <c r="B28"/>
  <c r="K28" s="1"/>
  <c r="O27"/>
  <c r="N27"/>
  <c r="C27"/>
  <c r="B27"/>
  <c r="K27" s="1"/>
  <c r="N18"/>
  <c r="O18"/>
  <c r="B18"/>
  <c r="K18" s="1"/>
  <c r="C18"/>
  <c r="I7"/>
  <c r="I6"/>
  <c r="I5"/>
  <c r="O25"/>
  <c r="O10"/>
  <c r="O11"/>
  <c r="O13"/>
  <c r="O14"/>
  <c r="O15"/>
  <c r="O16"/>
  <c r="O17"/>
  <c r="O19"/>
  <c r="O20"/>
  <c r="O21"/>
  <c r="O22"/>
  <c r="O23"/>
  <c r="O24"/>
  <c r="O9"/>
  <c r="N9"/>
  <c r="N10"/>
  <c r="N11"/>
  <c r="N13"/>
  <c r="N14"/>
  <c r="N15"/>
  <c r="N16"/>
  <c r="N17"/>
  <c r="N19"/>
  <c r="N20"/>
  <c r="N21"/>
  <c r="N22"/>
  <c r="N23"/>
  <c r="N24"/>
  <c r="N25"/>
  <c r="B10"/>
  <c r="C10"/>
  <c r="B23"/>
  <c r="C23"/>
  <c r="B9"/>
  <c r="D6"/>
  <c r="D5"/>
  <c r="P11" s="1"/>
  <c r="C11"/>
  <c r="C13"/>
  <c r="C14"/>
  <c r="C15"/>
  <c r="C16"/>
  <c r="C17"/>
  <c r="C19"/>
  <c r="C20"/>
  <c r="C21"/>
  <c r="C22"/>
  <c r="C24"/>
  <c r="C25"/>
  <c r="B11"/>
  <c r="K11" s="1"/>
  <c r="B13"/>
  <c r="K13" s="1"/>
  <c r="B14"/>
  <c r="K14" s="1"/>
  <c r="B15"/>
  <c r="K15" s="1"/>
  <c r="B16"/>
  <c r="B17"/>
  <c r="K17" s="1"/>
  <c r="B19"/>
  <c r="K19" s="1"/>
  <c r="B20"/>
  <c r="K20" s="1"/>
  <c r="B21"/>
  <c r="K21" s="1"/>
  <c r="B22"/>
  <c r="K22" s="1"/>
  <c r="B24"/>
  <c r="K24" s="1"/>
  <c r="B25"/>
  <c r="C9"/>
  <c r="D4"/>
  <c r="R12" l="1"/>
  <c r="L18"/>
  <c r="P27"/>
  <c r="P28"/>
  <c r="P29"/>
  <c r="P30"/>
  <c r="P31"/>
  <c r="P32"/>
  <c r="P33"/>
  <c r="P34"/>
  <c r="P35"/>
  <c r="P36"/>
  <c r="L27"/>
  <c r="D27"/>
  <c r="L28"/>
  <c r="D28"/>
  <c r="R28" s="1"/>
  <c r="L29"/>
  <c r="D29"/>
  <c r="R29" s="1"/>
  <c r="L30"/>
  <c r="D30"/>
  <c r="R30" s="1"/>
  <c r="L31"/>
  <c r="D31"/>
  <c r="L32"/>
  <c r="D32"/>
  <c r="R32" s="1"/>
  <c r="L33"/>
  <c r="D33"/>
  <c r="R33" s="1"/>
  <c r="L34"/>
  <c r="D34"/>
  <c r="R34" s="1"/>
  <c r="L35"/>
  <c r="D35"/>
  <c r="L36"/>
  <c r="D36"/>
  <c r="R36" s="1"/>
  <c r="R35"/>
  <c r="R31"/>
  <c r="R27"/>
  <c r="D18"/>
  <c r="P18"/>
  <c r="R18" s="1"/>
  <c r="D7"/>
  <c r="K16"/>
  <c r="L16" s="1"/>
  <c r="P9"/>
  <c r="P24"/>
  <c r="P22"/>
  <c r="P20"/>
  <c r="P17"/>
  <c r="P15"/>
  <c r="P13"/>
  <c r="P10"/>
  <c r="D9"/>
  <c r="P25"/>
  <c r="P23"/>
  <c r="P21"/>
  <c r="P19"/>
  <c r="P16"/>
  <c r="P14"/>
  <c r="L24"/>
  <c r="L21"/>
  <c r="L19"/>
  <c r="L14"/>
  <c r="L11"/>
  <c r="L22"/>
  <c r="L20"/>
  <c r="L17"/>
  <c r="L15"/>
  <c r="L13"/>
  <c r="K25"/>
  <c r="L25" s="1"/>
  <c r="K10"/>
  <c r="L10" s="1"/>
  <c r="D10"/>
  <c r="K23"/>
  <c r="L23" s="1"/>
  <c r="K9"/>
  <c r="L9" s="1"/>
  <c r="D23"/>
  <c r="D13"/>
  <c r="D17"/>
  <c r="D19"/>
  <c r="D22"/>
  <c r="D21"/>
  <c r="D24"/>
  <c r="D20"/>
  <c r="D25"/>
  <c r="D11"/>
  <c r="R11" s="1"/>
  <c r="D16"/>
  <c r="D15"/>
  <c r="D14"/>
  <c r="R14" l="1"/>
  <c r="R19"/>
  <c r="R23"/>
  <c r="R13"/>
  <c r="R17"/>
  <c r="R22"/>
  <c r="R9"/>
  <c r="R16"/>
  <c r="R21"/>
  <c r="R10"/>
  <c r="R15"/>
  <c r="R20"/>
  <c r="R24"/>
  <c r="R25"/>
</calcChain>
</file>

<file path=xl/sharedStrings.xml><?xml version="1.0" encoding="utf-8"?>
<sst xmlns="http://schemas.openxmlformats.org/spreadsheetml/2006/main" count="59" uniqueCount="43">
  <si>
    <t>Lens FL (mm)</t>
  </si>
  <si>
    <t>DSLR Diagonal =</t>
  </si>
  <si>
    <t>DSLR Horz/Vert Ratio =</t>
  </si>
  <si>
    <t>Input DSLR Sensor Horizontal :</t>
  </si>
  <si>
    <t>Input DSLR Sensor Vertical :</t>
  </si>
  <si>
    <t>Canon 6D Field Angles</t>
  </si>
  <si>
    <t>Horizontal FOV</t>
  </si>
  <si>
    <t>Vertical FOV</t>
  </si>
  <si>
    <t>Diagonal FOV</t>
  </si>
  <si>
    <t>35 mm Film Diagonal (36 x 24 mm) =</t>
  </si>
  <si>
    <t>|</t>
  </si>
  <si>
    <t>Full-Frame Lenses</t>
  </si>
  <si>
    <t>40D = 22.2 x 14.8 mm</t>
  </si>
  <si>
    <t>6D = 35.8 x 23.9 mm</t>
  </si>
  <si>
    <t>Angular Ratio vs. Sensor Ratio</t>
  </si>
  <si>
    <t>H to V Angular Ratio</t>
  </si>
  <si>
    <t>Horz</t>
  </si>
  <si>
    <t>Vert</t>
  </si>
  <si>
    <t>Diag</t>
  </si>
  <si>
    <t>Small Angle Approximation</t>
  </si>
  <si>
    <t>Delta Diag Sm - Trig</t>
  </si>
  <si>
    <r>
      <rPr>
        <b/>
        <sz val="12"/>
        <rFont val="Calibri"/>
        <family val="2"/>
        <scheme val="minor"/>
      </rPr>
      <t>Sigma</t>
    </r>
    <r>
      <rPr>
        <sz val="12"/>
        <rFont val="Calibri"/>
        <family val="2"/>
        <scheme val="minor"/>
      </rPr>
      <t xml:space="preserve"> 20 mm f/1.4 DG HSM Art series</t>
    </r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</si>
  <si>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40 mm f/2.8 STM pancake type</t>
    </r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</si>
  <si>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24-105 mm f/4L IS zoom</t>
    </r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</si>
  <si>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70-200 mm f/2.8L zoom</t>
    </r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</si>
  <si>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100 mm f/2.8L IS macro </t>
    </r>
  </si>
  <si>
    <r>
      <rPr>
        <b/>
        <sz val="12"/>
        <rFont val="Calibri"/>
        <family val="2"/>
        <scheme val="minor"/>
      </rPr>
      <t>Sigma</t>
    </r>
    <r>
      <rPr>
        <sz val="12"/>
        <rFont val="Calibri"/>
        <family val="2"/>
        <scheme val="minor"/>
      </rPr>
      <t xml:space="preserve"> 70-300 mm f/4-5.6 apo zoom</t>
    </r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</si>
  <si>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400 mm f/5.6L telephoto</t>
    </r>
  </si>
  <si>
    <r>
      <rPr>
        <b/>
        <sz val="12"/>
        <rFont val="Calibri"/>
        <family val="2"/>
        <scheme val="minor"/>
      </rPr>
      <t>Note</t>
    </r>
    <r>
      <rPr>
        <sz val="12"/>
        <rFont val="Calibri"/>
        <family val="2"/>
        <scheme val="minor"/>
      </rPr>
      <t>: Yellow cells are not locked. To remove protection, click "Review"</t>
    </r>
  </si>
  <si>
    <t>then click "Unprotect Sheet." No password has been set.</t>
  </si>
  <si>
    <t>35 mm/DSLR Diagonal Ratio =</t>
  </si>
  <si>
    <t xml:space="preserve"> 3888 x 2592</t>
  </si>
  <si>
    <t xml:space="preserve"> 5472 x 3648</t>
  </si>
  <si>
    <t>7D Mk II = 22.4 x 15.0 mm</t>
  </si>
  <si>
    <r>
      <t xml:space="preserve">5.71 </t>
    </r>
    <r>
      <rPr>
        <sz val="12"/>
        <rFont val="Calibri"/>
        <family val="2"/>
      </rPr>
      <t>μ</t>
    </r>
    <r>
      <rPr>
        <sz val="12"/>
        <rFont val="Calibri"/>
        <family val="2"/>
        <scheme val="minor"/>
      </rPr>
      <t>m</t>
    </r>
  </si>
  <si>
    <t>4.09 μm</t>
  </si>
  <si>
    <t>6.55 μm</t>
  </si>
  <si>
    <r>
      <rPr>
        <b/>
        <sz val="12"/>
        <rFont val="Calibri"/>
        <family val="2"/>
        <scheme val="minor"/>
      </rPr>
      <t>Yongnuo</t>
    </r>
    <r>
      <rPr>
        <sz val="12"/>
        <rFont val="Calibri"/>
        <family val="2"/>
        <scheme val="minor"/>
      </rPr>
      <t xml:space="preserve"> 85 mm f/1.8</t>
    </r>
  </si>
  <si>
    <t>60Da = 22.3 x 14.9 mm, 5184 x 3456, 4.30 um</t>
  </si>
  <si>
    <r>
      <rPr>
        <b/>
        <sz val="12"/>
        <color rgb="FFFF0000"/>
        <rFont val="Calibri"/>
        <family val="2"/>
        <scheme val="minor"/>
      </rPr>
      <t>Canon</t>
    </r>
    <r>
      <rPr>
        <sz val="12"/>
        <rFont val="Calibri"/>
        <family val="2"/>
        <scheme val="minor"/>
      </rPr>
      <t xml:space="preserve"> 200 mm f/2.8L II USM</t>
    </r>
  </si>
  <si>
    <r>
      <rPr>
        <b/>
        <sz val="12"/>
        <color rgb="FF0070C0"/>
        <rFont val="Calibri"/>
        <family val="2"/>
        <scheme val="minor"/>
      </rPr>
      <t>irix</t>
    </r>
    <r>
      <rPr>
        <sz val="12"/>
        <rFont val="Calibri"/>
        <family val="2"/>
        <scheme val="minor"/>
      </rPr>
      <t xml:space="preserve"> 15 mm f/2.4 Firefly</t>
    </r>
  </si>
  <si>
    <r>
      <rPr>
        <b/>
        <sz val="12"/>
        <color rgb="FF002060"/>
        <rFont val="Calibri"/>
        <family val="2"/>
        <scheme val="minor"/>
      </rPr>
      <t>Tamron</t>
    </r>
    <r>
      <rPr>
        <sz val="12"/>
        <rFont val="Calibri"/>
        <family val="2"/>
        <scheme val="minor"/>
      </rPr>
      <t xml:space="preserve"> 150-600 mm f/5-6.3 zoom</t>
    </r>
  </si>
  <si>
    <r>
      <rPr>
        <b/>
        <sz val="12"/>
        <rFont val="Calibri"/>
        <family val="2"/>
        <scheme val="minor"/>
      </rPr>
      <t>Tamron</t>
    </r>
    <r>
      <rPr>
        <sz val="12"/>
        <rFont val="Calibri"/>
        <family val="2"/>
        <scheme val="minor"/>
      </rPr>
      <t xml:space="preserve"> 45 mm f/1.8</t>
    </r>
  </si>
</sst>
</file>

<file path=xl/styles.xml><?xml version="1.0" encoding="utf-8"?>
<styleSheet xmlns="http://schemas.openxmlformats.org/spreadsheetml/2006/main">
  <numFmts count="6">
    <numFmt numFmtId="164" formatCode="0.0\ &quot;mm&quot;"/>
    <numFmt numFmtId="165" formatCode="0.00&quot;°&quot;"/>
    <numFmt numFmtId="166" formatCode="0.000"/>
    <numFmt numFmtId="167" formatCode="0.0&quot;°&quot;"/>
    <numFmt numFmtId="168" formatCode="0&quot;°&quot;"/>
    <numFmt numFmtId="169" formatCode="0.000&quot;°&quot;"/>
  </numFmts>
  <fonts count="14">
    <font>
      <sz val="12"/>
      <name val="Trebuchet MS"/>
    </font>
    <font>
      <sz val="8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Protection="1"/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6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64" fontId="7" fillId="5" borderId="9" xfId="0" applyNumberFormat="1" applyFont="1" applyFill="1" applyBorder="1" applyAlignment="1" applyProtection="1">
      <alignment horizontal="center" vertical="center"/>
      <protection locked="0"/>
    </xf>
    <xf numFmtId="164" fontId="7" fillId="5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/>
    </xf>
    <xf numFmtId="166" fontId="7" fillId="0" borderId="11" xfId="0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left" vertical="center"/>
    </xf>
    <xf numFmtId="0" fontId="2" fillId="3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4" borderId="14" xfId="0" applyNumberFormat="1" applyFont="1" applyFill="1" applyBorder="1" applyAlignment="1" applyProtection="1">
      <alignment horizontal="center" vertical="center"/>
    </xf>
    <xf numFmtId="165" fontId="2" fillId="4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2" fillId="4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167" fontId="2" fillId="4" borderId="14" xfId="0" applyNumberFormat="1" applyFont="1" applyFill="1" applyBorder="1" applyAlignment="1" applyProtection="1">
      <alignment horizontal="center" vertical="center"/>
    </xf>
    <xf numFmtId="167" fontId="3" fillId="4" borderId="14" xfId="0" applyNumberFormat="1" applyFont="1" applyFill="1" applyBorder="1" applyAlignment="1" applyProtection="1">
      <alignment horizontal="center" vertical="center"/>
    </xf>
    <xf numFmtId="167" fontId="2" fillId="0" borderId="14" xfId="0" applyNumberFormat="1" applyFont="1" applyFill="1" applyBorder="1" applyAlignment="1" applyProtection="1">
      <alignment horizontal="center" vertical="center"/>
    </xf>
    <xf numFmtId="167" fontId="3" fillId="0" borderId="14" xfId="0" applyNumberFormat="1" applyFont="1" applyFill="1" applyBorder="1" applyAlignment="1" applyProtection="1">
      <alignment horizontal="center" vertical="center"/>
    </xf>
    <xf numFmtId="167" fontId="2" fillId="4" borderId="3" xfId="0" applyNumberFormat="1" applyFont="1" applyFill="1" applyBorder="1" applyAlignment="1" applyProtection="1">
      <alignment horizontal="center" vertical="center"/>
    </xf>
    <xf numFmtId="167" fontId="3" fillId="4" borderId="3" xfId="0" applyNumberFormat="1" applyFont="1" applyFill="1" applyBorder="1" applyAlignment="1" applyProtection="1">
      <alignment horizontal="center" vertical="center"/>
    </xf>
    <xf numFmtId="167" fontId="2" fillId="0" borderId="3" xfId="0" applyNumberFormat="1" applyFont="1" applyFill="1" applyBorder="1" applyAlignment="1" applyProtection="1">
      <alignment horizontal="center" vertical="center"/>
    </xf>
    <xf numFmtId="167" fontId="3" fillId="0" borderId="3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Alignment="1" applyProtection="1">
      <alignment horizontal="center" vertical="center"/>
    </xf>
    <xf numFmtId="168" fontId="2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10" fillId="0" borderId="0" xfId="0" quotePrefix="1" applyFont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3" fillId="0" borderId="17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165" fontId="3" fillId="4" borderId="14" xfId="0" applyNumberFormat="1" applyFont="1" applyFill="1" applyBorder="1" applyAlignment="1" applyProtection="1">
      <alignment horizontal="center" vertical="center"/>
    </xf>
    <xf numFmtId="165" fontId="2" fillId="4" borderId="6" xfId="0" applyNumberFormat="1" applyFont="1" applyFill="1" applyBorder="1" applyAlignment="1" applyProtection="1">
      <alignment horizontal="center" vertical="center"/>
    </xf>
    <xf numFmtId="165" fontId="3" fillId="4" borderId="6" xfId="0" applyNumberFormat="1" applyFont="1" applyFill="1" applyBorder="1" applyAlignment="1" applyProtection="1">
      <alignment horizontal="center" vertical="center"/>
    </xf>
    <xf numFmtId="0" fontId="2" fillId="4" borderId="20" xfId="0" applyNumberFormat="1" applyFont="1" applyFill="1" applyBorder="1" applyAlignment="1" applyProtection="1">
      <alignment horizontal="center" vertical="center"/>
    </xf>
    <xf numFmtId="167" fontId="2" fillId="4" borderId="19" xfId="0" applyNumberFormat="1" applyFont="1" applyFill="1" applyBorder="1" applyAlignment="1" applyProtection="1">
      <alignment horizontal="center" vertical="center"/>
    </xf>
    <xf numFmtId="167" fontId="3" fillId="4" borderId="19" xfId="0" applyNumberFormat="1" applyFont="1" applyFill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vertical="center"/>
    </xf>
    <xf numFmtId="165" fontId="2" fillId="4" borderId="3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169" fontId="2" fillId="0" borderId="0" xfId="0" applyNumberFormat="1" applyFont="1" applyAlignment="1" applyProtection="1">
      <alignment horizontal="center" vertical="center"/>
    </xf>
    <xf numFmtId="0" fontId="2" fillId="4" borderId="21" xfId="0" applyNumberFormat="1" applyFont="1" applyFill="1" applyBorder="1" applyAlignment="1" applyProtection="1">
      <alignment horizontal="center" vertical="center"/>
    </xf>
    <xf numFmtId="165" fontId="2" fillId="4" borderId="21" xfId="0" applyNumberFormat="1" applyFont="1" applyFill="1" applyBorder="1" applyAlignment="1" applyProtection="1">
      <alignment horizontal="center" vertical="center"/>
    </xf>
    <xf numFmtId="165" fontId="3" fillId="4" borderId="2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166" fontId="2" fillId="0" borderId="18" xfId="0" applyNumberFormat="1" applyFont="1" applyBorder="1" applyAlignment="1" applyProtection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</xf>
    <xf numFmtId="169" fontId="2" fillId="0" borderId="18" xfId="0" applyNumberFormat="1" applyFont="1" applyBorder="1" applyAlignment="1" applyProtection="1">
      <alignment horizontal="center" vertical="center"/>
    </xf>
    <xf numFmtId="0" fontId="9" fillId="7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2" fillId="7" borderId="4" xfId="0" applyFont="1" applyFill="1" applyBorder="1" applyProtection="1"/>
    <xf numFmtId="0" fontId="2" fillId="4" borderId="16" xfId="0" applyNumberFormat="1" applyFont="1" applyFill="1" applyBorder="1" applyAlignment="1" applyProtection="1">
      <alignment horizontal="center" vertical="center"/>
    </xf>
    <xf numFmtId="168" fontId="2" fillId="4" borderId="16" xfId="0" applyNumberFormat="1" applyFont="1" applyFill="1" applyBorder="1" applyAlignment="1" applyProtection="1">
      <alignment horizontal="center" vertical="center"/>
    </xf>
    <xf numFmtId="167" fontId="2" fillId="4" borderId="16" xfId="0" applyNumberFormat="1" applyFont="1" applyFill="1" applyBorder="1" applyAlignment="1" applyProtection="1">
      <alignment horizontal="center" vertical="center"/>
    </xf>
    <xf numFmtId="168" fontId="3" fillId="4" borderId="16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7" fillId="0" borderId="7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13" fillId="0" borderId="18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85" zoomScaleNormal="85" workbookViewId="0">
      <selection activeCell="A25" sqref="A25"/>
    </sheetView>
  </sheetViews>
  <sheetFormatPr defaultRowHeight="15.75"/>
  <cols>
    <col min="1" max="1" width="9.625" style="1" customWidth="1"/>
    <col min="2" max="2" width="12.625" style="1" customWidth="1"/>
    <col min="3" max="3" width="10.625" style="1" customWidth="1"/>
    <col min="4" max="4" width="12.625" style="1" customWidth="1"/>
    <col min="5" max="5" width="2.625" style="1" customWidth="1"/>
    <col min="6" max="9" width="9" style="1"/>
    <col min="10" max="10" width="2.625" style="1" customWidth="1"/>
    <col min="11" max="12" width="9.625" style="1" customWidth="1"/>
    <col min="13" max="13" width="4.625" style="1" customWidth="1"/>
    <col min="14" max="16" width="9.625" style="1" customWidth="1"/>
    <col min="17" max="17" width="4.625" style="1" customWidth="1"/>
    <col min="18" max="18" width="9.625" style="1" customWidth="1"/>
    <col min="19" max="16384" width="9" style="1"/>
  </cols>
  <sheetData>
    <row r="1" spans="1:18" ht="30" customHeight="1">
      <c r="A1" s="91" t="s">
        <v>5</v>
      </c>
      <c r="B1" s="92"/>
      <c r="C1" s="92"/>
      <c r="D1" s="93"/>
    </row>
    <row r="2" spans="1:18" ht="21.95" customHeight="1">
      <c r="A2" s="94" t="s">
        <v>3</v>
      </c>
      <c r="B2" s="95"/>
      <c r="C2" s="95"/>
      <c r="D2" s="13">
        <v>35.799999999999997</v>
      </c>
      <c r="F2" s="4" t="s">
        <v>28</v>
      </c>
    </row>
    <row r="3" spans="1:18" ht="21.95" customHeight="1">
      <c r="A3" s="96" t="s">
        <v>4</v>
      </c>
      <c r="B3" s="97"/>
      <c r="C3" s="97"/>
      <c r="D3" s="14">
        <v>23.9</v>
      </c>
      <c r="F3" s="4" t="s">
        <v>29</v>
      </c>
    </row>
    <row r="4" spans="1:18" ht="21.95" customHeight="1">
      <c r="A4" s="88" t="s">
        <v>2</v>
      </c>
      <c r="B4" s="89"/>
      <c r="C4" s="89"/>
      <c r="D4" s="15">
        <f>Horz/Vert</f>
        <v>1.497907949790795</v>
      </c>
      <c r="F4" s="4"/>
    </row>
    <row r="5" spans="1:18" ht="21.95" customHeight="1">
      <c r="A5" s="88" t="s">
        <v>1</v>
      </c>
      <c r="B5" s="90"/>
      <c r="C5" s="90"/>
      <c r="D5" s="16">
        <f>SQRT(Horz^2+Vert^2)</f>
        <v>43.044744162324861</v>
      </c>
      <c r="H5" s="38" t="s">
        <v>12</v>
      </c>
      <c r="I5" s="50">
        <f>22/14.8</f>
        <v>1.4864864864864864</v>
      </c>
      <c r="K5" s="9" t="s">
        <v>34</v>
      </c>
      <c r="L5" s="51" t="s">
        <v>31</v>
      </c>
      <c r="N5" s="62" t="s">
        <v>38</v>
      </c>
    </row>
    <row r="6" spans="1:18" ht="21.95" customHeight="1">
      <c r="A6" s="88" t="s">
        <v>9</v>
      </c>
      <c r="B6" s="89"/>
      <c r="C6" s="89"/>
      <c r="D6" s="16">
        <f>SQRT(36^2+24^2)</f>
        <v>43.266615305567875</v>
      </c>
      <c r="H6" s="38" t="s">
        <v>33</v>
      </c>
      <c r="I6" s="10">
        <f>22.4/15</f>
        <v>1.4933333333333332</v>
      </c>
      <c r="K6" s="9" t="s">
        <v>35</v>
      </c>
      <c r="L6" s="51" t="s">
        <v>32</v>
      </c>
    </row>
    <row r="7" spans="1:18" ht="21.95" customHeight="1">
      <c r="A7" s="17"/>
      <c r="C7" s="49" t="s">
        <v>30</v>
      </c>
      <c r="D7" s="18">
        <f>1/(Diagonal/Film)</f>
        <v>1.0051544305248121</v>
      </c>
      <c r="H7" s="38" t="s">
        <v>13</v>
      </c>
      <c r="I7" s="10">
        <f>35.8/23.9</f>
        <v>1.497907949790795</v>
      </c>
      <c r="K7" s="9" t="s">
        <v>36</v>
      </c>
      <c r="L7" s="51" t="s">
        <v>32</v>
      </c>
      <c r="N7" s="87" t="s">
        <v>19</v>
      </c>
      <c r="O7" s="87"/>
      <c r="P7" s="87"/>
    </row>
    <row r="8" spans="1:18" ht="44.1" customHeight="1">
      <c r="A8" s="19" t="s">
        <v>0</v>
      </c>
      <c r="B8" s="20" t="s">
        <v>6</v>
      </c>
      <c r="C8" s="21" t="s">
        <v>7</v>
      </c>
      <c r="D8" s="22" t="s">
        <v>8</v>
      </c>
      <c r="F8" s="23" t="s">
        <v>11</v>
      </c>
      <c r="G8" s="24"/>
      <c r="H8" s="24"/>
      <c r="I8" s="24"/>
      <c r="J8" s="24"/>
      <c r="K8" s="2" t="s">
        <v>15</v>
      </c>
      <c r="L8" s="3" t="s">
        <v>14</v>
      </c>
      <c r="N8" s="25" t="s">
        <v>16</v>
      </c>
      <c r="O8" s="25" t="s">
        <v>17</v>
      </c>
      <c r="P8" s="25" t="s">
        <v>18</v>
      </c>
      <c r="R8" s="2" t="s">
        <v>20</v>
      </c>
    </row>
    <row r="9" spans="1:18" s="4" customFormat="1" ht="20.100000000000001" customHeight="1">
      <c r="A9" s="83">
        <v>15</v>
      </c>
      <c r="B9" s="84">
        <f t="shared" ref="B9:B25" si="0">IF(OR(A9="",A9=0,A9&lt;0),"--",DEGREES(2*(ATAN(Horz/2/A9))))</f>
        <v>100.07473700406295</v>
      </c>
      <c r="C9" s="85">
        <f t="shared" ref="C9:C25" si="1">IF(OR(A9="",A9=0,A9&lt;0),"--",DEGREES(2*(ATAN(Vert/2/A9))))</f>
        <v>77.086327825944309</v>
      </c>
      <c r="D9" s="86">
        <f>IF(OR(A9="",A9=0,A9&lt;0),"--",DEGREES(2*(ATAN(Diagonal/2/A9))))</f>
        <v>110.2509241941648</v>
      </c>
      <c r="E9" s="26"/>
      <c r="F9" s="9" t="s">
        <v>40</v>
      </c>
      <c r="G9" s="5"/>
      <c r="H9" s="5"/>
      <c r="K9" s="10">
        <f>B9/C9</f>
        <v>1.2982164260052043</v>
      </c>
      <c r="L9" s="10">
        <f t="shared" ref="L9:L25" si="2">K9/HV</f>
        <v>0.86668638495878159</v>
      </c>
      <c r="N9" s="48">
        <f t="shared" ref="N9:N25" si="3">DEGREES(Horz/A9)</f>
        <v>136.74592710455644</v>
      </c>
      <c r="O9" s="48">
        <f t="shared" ref="O9:O25" si="4">DEGREES(Vert/A9)</f>
        <v>91.291275357511168</v>
      </c>
      <c r="P9" s="48">
        <f t="shared" ref="P9:P25" si="5">DEGREES(Diagonal/A9)</f>
        <v>164.41881138144018</v>
      </c>
      <c r="R9" s="47">
        <f>P9-D9</f>
        <v>54.167887187275383</v>
      </c>
    </row>
    <row r="10" spans="1:18" s="4" customFormat="1" ht="20.100000000000001" customHeight="1">
      <c r="A10" s="29">
        <v>20</v>
      </c>
      <c r="B10" s="41">
        <f t="shared" ref="B10" si="6">IF(OR(A10="",A10=0,A10&lt;0),"--",DEGREES(2*(ATAN(Horz/2/A10))))</f>
        <v>83.657085567404422</v>
      </c>
      <c r="C10" s="41">
        <f t="shared" ref="C10" si="7">IF(OR(A10="",A10=0,A10&lt;0),"--",DEGREES(2*(ATAN(Vert/2/A10))))</f>
        <v>61.716634467038503</v>
      </c>
      <c r="D10" s="42">
        <f>IF(OR(A10="",A10=0,A10&lt;0),"--",DEGREES(2*(ATAN(Diagonal/2/A10))))</f>
        <v>94.199492378570895</v>
      </c>
      <c r="E10" s="26"/>
      <c r="F10" s="5" t="s">
        <v>21</v>
      </c>
      <c r="G10" s="5"/>
      <c r="H10" s="5"/>
      <c r="K10" s="10">
        <f>B10/C10</f>
        <v>1.3555030388457723</v>
      </c>
      <c r="L10" s="10">
        <f t="shared" si="2"/>
        <v>0.90493079967636747</v>
      </c>
      <c r="N10" s="48">
        <f t="shared" si="3"/>
        <v>102.55944532841735</v>
      </c>
      <c r="O10" s="48">
        <f t="shared" si="4"/>
        <v>68.468456518133365</v>
      </c>
      <c r="P10" s="48">
        <f t="shared" si="5"/>
        <v>123.31410853608013</v>
      </c>
      <c r="R10" s="47">
        <f t="shared" ref="R10:R25" si="8">P10-D10</f>
        <v>29.114616157509232</v>
      </c>
    </row>
    <row r="11" spans="1:18" s="12" customFormat="1" ht="20.100000000000001" customHeight="1">
      <c r="A11" s="27">
        <v>40</v>
      </c>
      <c r="B11" s="39">
        <f t="shared" si="0"/>
        <v>48.217031799950639</v>
      </c>
      <c r="C11" s="39">
        <f t="shared" si="1"/>
        <v>33.267030961095479</v>
      </c>
      <c r="D11" s="40">
        <f t="shared" ref="D11:D24" si="9">IF(OR(A11="",A11=0,A11&lt;0),"--",DEGREES(2*(ATAN(Diagonal/2/A11))))</f>
        <v>56.565772963265509</v>
      </c>
      <c r="E11" s="31"/>
      <c r="F11" s="6" t="s">
        <v>22</v>
      </c>
      <c r="G11" s="6"/>
      <c r="H11" s="6"/>
      <c r="K11" s="10">
        <f t="shared" ref="K11:K25" si="10">B11/C11</f>
        <v>1.4493939016180499</v>
      </c>
      <c r="L11" s="10">
        <f t="shared" si="2"/>
        <v>0.96761212985115619</v>
      </c>
      <c r="N11" s="47">
        <f t="shared" si="3"/>
        <v>51.279722664208677</v>
      </c>
      <c r="O11" s="47">
        <f t="shared" si="4"/>
        <v>34.234228259066683</v>
      </c>
      <c r="P11" s="47">
        <f t="shared" si="5"/>
        <v>61.657054268040064</v>
      </c>
      <c r="R11" s="11">
        <f t="shared" si="8"/>
        <v>5.0912813047745544</v>
      </c>
    </row>
    <row r="12" spans="1:18" s="12" customFormat="1" ht="20.100000000000001" customHeight="1">
      <c r="A12" s="29">
        <v>45</v>
      </c>
      <c r="B12" s="41">
        <f t="shared" ref="B12" si="11">IF(OR(A12="",A12=0,A12&lt;0),"--",DEGREES(2*(ATAN(Horz/2/A12))))</f>
        <v>43.383126835759604</v>
      </c>
      <c r="C12" s="41">
        <f t="shared" ref="C12" si="12">IF(OR(A12="",A12=0,A12&lt;0),"--",DEGREES(2*(ATAN(Vert/2/A12))))</f>
        <v>29.743930595310712</v>
      </c>
      <c r="D12" s="42">
        <f t="shared" ref="D12" si="13">IF(OR(A12="",A12=0,A12&lt;0),"--",DEGREES(2*(ATAN(Diagonal/2/A12))))</f>
        <v>51.121242090272681</v>
      </c>
      <c r="E12" s="31"/>
      <c r="F12" s="6" t="s">
        <v>42</v>
      </c>
      <c r="G12" s="6"/>
      <c r="H12" s="6"/>
      <c r="K12" s="10">
        <f t="shared" ref="K12" si="14">B12/C12</f>
        <v>1.4585539290694547</v>
      </c>
      <c r="L12" s="10">
        <f t="shared" ref="L12" si="15">K12/HV</f>
        <v>0.97372734370837899</v>
      </c>
      <c r="N12" s="47">
        <f t="shared" ref="N12" si="16">DEGREES(Horz/A12)</f>
        <v>45.581975701518822</v>
      </c>
      <c r="O12" s="47">
        <f t="shared" ref="O12" si="17">DEGREES(Vert/A12)</f>
        <v>30.430425119170387</v>
      </c>
      <c r="P12" s="47">
        <f t="shared" ref="P12" si="18">DEGREES(Diagonal/A12)</f>
        <v>54.806270460480064</v>
      </c>
      <c r="R12" s="11">
        <f t="shared" si="8"/>
        <v>3.6850283702073838</v>
      </c>
    </row>
    <row r="13" spans="1:18" s="4" customFormat="1" ht="20.100000000000001" customHeight="1">
      <c r="A13" s="32">
        <v>24</v>
      </c>
      <c r="B13" s="43">
        <f t="shared" si="0"/>
        <v>73.433606149902786</v>
      </c>
      <c r="C13" s="43">
        <f t="shared" si="1"/>
        <v>52.938957312044238</v>
      </c>
      <c r="D13" s="44">
        <f t="shared" si="9"/>
        <v>83.769318533697529</v>
      </c>
      <c r="E13" s="31"/>
      <c r="F13" s="6" t="s">
        <v>23</v>
      </c>
      <c r="G13" s="6"/>
      <c r="H13" s="6"/>
      <c r="K13" s="10">
        <f t="shared" si="10"/>
        <v>1.3871373725223668</v>
      </c>
      <c r="L13" s="10">
        <f t="shared" si="2"/>
        <v>0.92604981014761356</v>
      </c>
      <c r="N13" s="47">
        <f t="shared" si="3"/>
        <v>85.466204440347781</v>
      </c>
      <c r="O13" s="47">
        <f t="shared" si="4"/>
        <v>57.057047098444471</v>
      </c>
      <c r="P13" s="48">
        <f t="shared" si="5"/>
        <v>102.76175711340012</v>
      </c>
      <c r="R13" s="47">
        <f t="shared" si="8"/>
        <v>18.992438579702593</v>
      </c>
    </row>
    <row r="14" spans="1:18" s="4" customFormat="1" ht="20.100000000000001" customHeight="1">
      <c r="A14" s="33">
        <v>35</v>
      </c>
      <c r="B14" s="45">
        <f t="shared" si="0"/>
        <v>54.173000148962515</v>
      </c>
      <c r="C14" s="45">
        <f t="shared" si="1"/>
        <v>37.702741682898349</v>
      </c>
      <c r="D14" s="46">
        <f t="shared" si="9"/>
        <v>63.176788436237878</v>
      </c>
      <c r="E14" s="31"/>
      <c r="F14" s="7" t="s">
        <v>10</v>
      </c>
      <c r="G14" s="6"/>
      <c r="H14" s="6"/>
      <c r="K14" s="10">
        <f t="shared" si="10"/>
        <v>1.4368451134028521</v>
      </c>
      <c r="L14" s="10">
        <f t="shared" si="2"/>
        <v>0.95923458688067498</v>
      </c>
      <c r="N14" s="47">
        <f t="shared" si="3"/>
        <v>58.605397330524198</v>
      </c>
      <c r="O14" s="47">
        <f t="shared" si="4"/>
        <v>39.124832296076214</v>
      </c>
      <c r="P14" s="47">
        <f t="shared" si="5"/>
        <v>70.465204877760073</v>
      </c>
      <c r="R14" s="11">
        <f t="shared" si="8"/>
        <v>7.2884164415221946</v>
      </c>
    </row>
    <row r="15" spans="1:18" s="4" customFormat="1" ht="20.100000000000001" customHeight="1">
      <c r="A15" s="32">
        <v>50</v>
      </c>
      <c r="B15" s="43">
        <f t="shared" si="0"/>
        <v>39.394734781311136</v>
      </c>
      <c r="C15" s="43">
        <f t="shared" si="1"/>
        <v>26.883091434046744</v>
      </c>
      <c r="D15" s="44">
        <f t="shared" si="9"/>
        <v>46.578674626917881</v>
      </c>
      <c r="E15" s="31"/>
      <c r="F15" s="7" t="s">
        <v>10</v>
      </c>
      <c r="G15" s="6"/>
      <c r="H15" s="6"/>
      <c r="K15" s="10">
        <f t="shared" si="10"/>
        <v>1.4654093960123469</v>
      </c>
      <c r="L15" s="10">
        <f t="shared" si="2"/>
        <v>0.97830403811997457</v>
      </c>
      <c r="N15" s="47">
        <f t="shared" si="3"/>
        <v>41.023778131366939</v>
      </c>
      <c r="O15" s="47">
        <f t="shared" si="4"/>
        <v>27.38738260725335</v>
      </c>
      <c r="P15" s="47">
        <f t="shared" si="5"/>
        <v>49.325643414432051</v>
      </c>
      <c r="R15" s="11">
        <f t="shared" si="8"/>
        <v>2.7469687875141702</v>
      </c>
    </row>
    <row r="16" spans="1:18" s="4" customFormat="1" ht="20.100000000000001" customHeight="1">
      <c r="A16" s="34">
        <v>70</v>
      </c>
      <c r="B16" s="45">
        <f t="shared" si="0"/>
        <v>28.687944241930445</v>
      </c>
      <c r="C16" s="45">
        <f t="shared" si="1"/>
        <v>19.375633291048043</v>
      </c>
      <c r="D16" s="46">
        <f t="shared" si="9"/>
        <v>34.181395534200355</v>
      </c>
      <c r="E16" s="31"/>
      <c r="F16" s="7" t="s">
        <v>10</v>
      </c>
      <c r="G16" s="6"/>
      <c r="H16" s="6"/>
      <c r="K16" s="10">
        <f t="shared" si="10"/>
        <v>1.4806196943861902</v>
      </c>
      <c r="L16" s="10">
        <f t="shared" si="2"/>
        <v>0.98845839932485879</v>
      </c>
      <c r="N16" s="47">
        <f t="shared" si="3"/>
        <v>29.302698665262099</v>
      </c>
      <c r="O16" s="47">
        <f t="shared" si="4"/>
        <v>19.562416148038107</v>
      </c>
      <c r="P16" s="47">
        <f t="shared" si="5"/>
        <v>35.232602438880036</v>
      </c>
      <c r="R16" s="11">
        <f t="shared" si="8"/>
        <v>1.051206904679681</v>
      </c>
    </row>
    <row r="17" spans="1:18" s="4" customFormat="1" ht="20.100000000000001" customHeight="1">
      <c r="A17" s="27">
        <v>105</v>
      </c>
      <c r="B17" s="39">
        <f t="shared" si="0"/>
        <v>19.349121162099081</v>
      </c>
      <c r="C17" s="39">
        <f t="shared" si="1"/>
        <v>12.985736732731368</v>
      </c>
      <c r="D17" s="40">
        <f t="shared" si="9"/>
        <v>23.16750012748701</v>
      </c>
      <c r="E17" s="26"/>
      <c r="F17" s="8" t="s">
        <v>10</v>
      </c>
      <c r="K17" s="10">
        <f t="shared" si="10"/>
        <v>1.4900287569613513</v>
      </c>
      <c r="L17" s="10">
        <f t="shared" si="2"/>
        <v>0.99473986847419815</v>
      </c>
      <c r="N17" s="47">
        <f t="shared" si="3"/>
        <v>19.535132443508068</v>
      </c>
      <c r="O17" s="47">
        <f t="shared" si="4"/>
        <v>13.041610765358739</v>
      </c>
      <c r="P17" s="47">
        <f t="shared" si="5"/>
        <v>23.488401625920027</v>
      </c>
      <c r="R17" s="11">
        <f t="shared" si="8"/>
        <v>0.32090149843301674</v>
      </c>
    </row>
    <row r="18" spans="1:18" s="4" customFormat="1" ht="20.100000000000001" customHeight="1">
      <c r="A18" s="33">
        <v>85</v>
      </c>
      <c r="B18" s="41">
        <f t="shared" ref="B18" si="19">IF(OR(A18="",A18=0,A18&lt;0),"--",DEGREES(2*(ATAN(Horz/2/A18))))</f>
        <v>23.784110313744975</v>
      </c>
      <c r="C18" s="41">
        <f t="shared" ref="C18" si="20">IF(OR(A18="",A18=0,A18&lt;0),"--",DEGREES(2*(ATAN(Vert/2/A18))))</f>
        <v>16.005326465332381</v>
      </c>
      <c r="D18" s="42">
        <f t="shared" ref="D18" si="21">IF(OR(A18="",A18=0,A18&lt;0),"--",DEGREES(2*(ATAN(Diagonal/2/A18))))</f>
        <v>28.41782044039002</v>
      </c>
      <c r="E18" s="26"/>
      <c r="F18" s="9" t="s">
        <v>37</v>
      </c>
      <c r="K18" s="10">
        <f t="shared" ref="K18" si="22">B18/C18</f>
        <v>1.4860121950815237</v>
      </c>
      <c r="L18" s="10">
        <f t="shared" ref="L18" si="23">K18/HV</f>
        <v>0.99205842073878259</v>
      </c>
      <c r="N18" s="47">
        <f t="shared" ref="N18" si="24">DEGREES(Horz/A18)</f>
        <v>24.13163419492173</v>
      </c>
      <c r="O18" s="47">
        <f t="shared" ref="O18" si="25">DEGREES(Vert/A18)</f>
        <v>16.110225063090205</v>
      </c>
      <c r="P18" s="47">
        <f t="shared" ref="P18" si="26">DEGREES(Diagonal/A18)</f>
        <v>29.015084361430617</v>
      </c>
      <c r="R18" s="11">
        <f t="shared" si="8"/>
        <v>0.59726392104059656</v>
      </c>
    </row>
    <row r="19" spans="1:18" s="4" customFormat="1" ht="20.100000000000001" customHeight="1">
      <c r="A19" s="59">
        <v>70</v>
      </c>
      <c r="B19" s="60">
        <f t="shared" si="0"/>
        <v>28.687944241930445</v>
      </c>
      <c r="C19" s="60">
        <f t="shared" si="1"/>
        <v>19.375633291048043</v>
      </c>
      <c r="D19" s="61">
        <f t="shared" si="9"/>
        <v>34.181395534200355</v>
      </c>
      <c r="E19" s="26"/>
      <c r="F19" s="4" t="s">
        <v>24</v>
      </c>
      <c r="K19" s="10">
        <f t="shared" si="10"/>
        <v>1.4806196943861902</v>
      </c>
      <c r="L19" s="10">
        <f t="shared" si="2"/>
        <v>0.98845839932485879</v>
      </c>
      <c r="N19" s="47">
        <f t="shared" si="3"/>
        <v>29.302698665262099</v>
      </c>
      <c r="O19" s="47">
        <f t="shared" si="4"/>
        <v>19.562416148038107</v>
      </c>
      <c r="P19" s="47">
        <f t="shared" si="5"/>
        <v>35.232602438880036</v>
      </c>
      <c r="R19" s="11">
        <f t="shared" si="8"/>
        <v>1.051206904679681</v>
      </c>
    </row>
    <row r="20" spans="1:18" s="4" customFormat="1" ht="20.100000000000001" customHeight="1">
      <c r="A20" s="33">
        <v>100</v>
      </c>
      <c r="B20" s="45">
        <f t="shared" si="0"/>
        <v>20.296932811721707</v>
      </c>
      <c r="C20" s="45">
        <f t="shared" si="1"/>
        <v>13.629061056316081</v>
      </c>
      <c r="D20" s="46">
        <f t="shared" si="9"/>
        <v>24.292263041566017</v>
      </c>
      <c r="E20" s="26"/>
      <c r="F20" s="8" t="s">
        <v>10</v>
      </c>
      <c r="G20" s="4" t="s">
        <v>25</v>
      </c>
      <c r="K20" s="10">
        <f t="shared" si="10"/>
        <v>1.4892392607130887</v>
      </c>
      <c r="L20" s="10">
        <f t="shared" si="2"/>
        <v>0.99421280254309552</v>
      </c>
      <c r="N20" s="47">
        <f t="shared" si="3"/>
        <v>20.511889065683469</v>
      </c>
      <c r="O20" s="47">
        <f t="shared" si="4"/>
        <v>13.693691303626675</v>
      </c>
      <c r="P20" s="47">
        <f t="shared" si="5"/>
        <v>24.662821707216025</v>
      </c>
      <c r="R20" s="11">
        <f t="shared" si="8"/>
        <v>0.37055866565000883</v>
      </c>
    </row>
    <row r="21" spans="1:18" s="4" customFormat="1" ht="20.100000000000001" customHeight="1">
      <c r="A21" s="55">
        <v>135</v>
      </c>
      <c r="B21" s="43">
        <f t="shared" si="0"/>
        <v>15.105878687792348</v>
      </c>
      <c r="C21" s="43">
        <f t="shared" si="1"/>
        <v>10.117105738288274</v>
      </c>
      <c r="D21" s="44">
        <f t="shared" si="9"/>
        <v>18.116300206038744</v>
      </c>
      <c r="E21" s="26"/>
      <c r="F21" s="8" t="s">
        <v>10</v>
      </c>
      <c r="K21" s="10">
        <f t="shared" si="10"/>
        <v>1.4931027784580742</v>
      </c>
      <c r="L21" s="10">
        <f t="shared" si="2"/>
        <v>0.99679207835608863</v>
      </c>
      <c r="N21" s="47">
        <f t="shared" si="3"/>
        <v>15.193991900506276</v>
      </c>
      <c r="O21" s="47">
        <f t="shared" si="4"/>
        <v>10.143475039723462</v>
      </c>
      <c r="P21" s="47">
        <f t="shared" si="5"/>
        <v>18.268756820160018</v>
      </c>
      <c r="R21" s="11">
        <f t="shared" si="8"/>
        <v>0.15245661412127376</v>
      </c>
    </row>
    <row r="22" spans="1:18" s="4" customFormat="1" ht="20.100000000000001" customHeight="1">
      <c r="A22" s="52">
        <v>200</v>
      </c>
      <c r="B22" s="41">
        <f t="shared" si="0"/>
        <v>10.228691170602362</v>
      </c>
      <c r="C22" s="30">
        <f t="shared" si="1"/>
        <v>6.8387151715458554</v>
      </c>
      <c r="D22" s="42">
        <f t="shared" si="9"/>
        <v>12.284138349266271</v>
      </c>
      <c r="E22" s="26"/>
      <c r="F22" s="8" t="s">
        <v>10</v>
      </c>
      <c r="G22" s="4" t="s">
        <v>39</v>
      </c>
      <c r="K22" s="10">
        <f t="shared" si="10"/>
        <v>1.4957036393563121</v>
      </c>
      <c r="L22" s="10">
        <f t="shared" si="2"/>
        <v>0.99852840727977266</v>
      </c>
      <c r="N22" s="47">
        <f t="shared" si="3"/>
        <v>10.255944532841735</v>
      </c>
      <c r="O22" s="11">
        <f t="shared" si="4"/>
        <v>6.8468456518133376</v>
      </c>
      <c r="P22" s="47">
        <f t="shared" si="5"/>
        <v>12.331410853608013</v>
      </c>
      <c r="R22" s="11">
        <f t="shared" si="8"/>
        <v>4.7272504341741239E-2</v>
      </c>
    </row>
    <row r="23" spans="1:18" s="4" customFormat="1" ht="20.100000000000001" customHeight="1">
      <c r="A23" s="36">
        <v>300</v>
      </c>
      <c r="B23" s="28">
        <f t="shared" ref="B23" si="27">IF(OR(A23="",A23=0,A23&lt;0),"--",DEGREES(2*(ATAN(Horz/2/A23))))</f>
        <v>6.8291997980816372</v>
      </c>
      <c r="C23" s="28">
        <f t="shared" ref="C23" si="28">IF(OR(A23="",A23=0,A23&lt;0),"--",DEGREES(2*(ATAN(Vert/2/A23))))</f>
        <v>4.5621518742984675</v>
      </c>
      <c r="D23" s="56">
        <f t="shared" ref="D23" si="29">IF(OR(A23="",A23=0,A23&lt;0),"--",DEGREES(2*(ATAN(Diagonal/2/A23))))</f>
        <v>8.2068801026269433</v>
      </c>
      <c r="E23" s="26"/>
      <c r="F23" s="9" t="s">
        <v>26</v>
      </c>
      <c r="K23" s="10">
        <f t="shared" si="10"/>
        <v>1.4969251323163761</v>
      </c>
      <c r="L23" s="10">
        <f t="shared" si="2"/>
        <v>0.99934387325031815</v>
      </c>
      <c r="N23" s="11">
        <f t="shared" si="3"/>
        <v>6.8372963552278234</v>
      </c>
      <c r="O23" s="11">
        <f t="shared" si="4"/>
        <v>4.5645637678755584</v>
      </c>
      <c r="P23" s="11">
        <f t="shared" si="5"/>
        <v>8.2209405690720097</v>
      </c>
      <c r="R23" s="11">
        <f t="shared" si="8"/>
        <v>1.4060466445066311E-2</v>
      </c>
    </row>
    <row r="24" spans="1:18" s="4" customFormat="1" ht="20.100000000000001" customHeight="1">
      <c r="A24" s="35">
        <v>400</v>
      </c>
      <c r="B24" s="53">
        <f t="shared" si="0"/>
        <v>5.1245533451232204</v>
      </c>
      <c r="C24" s="53">
        <f t="shared" si="1"/>
        <v>3.4224048848470372</v>
      </c>
      <c r="D24" s="54">
        <f t="shared" si="9"/>
        <v>6.1597656747209779</v>
      </c>
      <c r="E24" s="26"/>
      <c r="F24" s="4" t="s">
        <v>27</v>
      </c>
      <c r="K24" s="10">
        <f t="shared" si="10"/>
        <v>1.4973544970709274</v>
      </c>
      <c r="L24" s="10">
        <f t="shared" si="2"/>
        <v>0.9996305162009822</v>
      </c>
      <c r="N24" s="11">
        <f t="shared" si="3"/>
        <v>5.1279722664208673</v>
      </c>
      <c r="O24" s="11">
        <f t="shared" si="4"/>
        <v>3.4234228259066688</v>
      </c>
      <c r="P24" s="11">
        <f t="shared" si="5"/>
        <v>6.1657054268040064</v>
      </c>
      <c r="R24" s="11">
        <f t="shared" si="8"/>
        <v>5.9397520830284378E-3</v>
      </c>
    </row>
    <row r="25" spans="1:18" s="4" customFormat="1" ht="20.100000000000001" customHeight="1">
      <c r="A25" s="37">
        <v>910</v>
      </c>
      <c r="B25" s="57">
        <f t="shared" si="0"/>
        <v>2.253763096723929</v>
      </c>
      <c r="C25" s="57">
        <f t="shared" si="1"/>
        <v>1.5047147521402584</v>
      </c>
      <c r="D25" s="58">
        <f>IF(OR(A25="",A25=0,A25&lt;0),"--",DEGREES(2*(ATAN(Diagonal/2/A25))))</f>
        <v>2.7096950242060376</v>
      </c>
      <c r="E25" s="74"/>
      <c r="F25" s="98" t="str">
        <f>IF(A25=910,"Stellarvue 130 mm, f/7 apo refractor",IF(A25=480,"William Optics 80 mm, f/6 apo refractor","Unspecified scope or lens"))</f>
        <v>Stellarvue 130 mm, f/7 apo refractor</v>
      </c>
      <c r="G25" s="76"/>
      <c r="H25" s="76"/>
      <c r="I25" s="76"/>
      <c r="J25" s="76"/>
      <c r="K25" s="77">
        <f t="shared" si="10"/>
        <v>1.4978008911777121</v>
      </c>
      <c r="L25" s="77">
        <f t="shared" si="2"/>
        <v>0.99992852790914299</v>
      </c>
      <c r="M25" s="76"/>
      <c r="N25" s="78">
        <f t="shared" si="3"/>
        <v>2.2540537434816996</v>
      </c>
      <c r="O25" s="78">
        <f t="shared" si="4"/>
        <v>1.5048012421567774</v>
      </c>
      <c r="P25" s="78">
        <f t="shared" si="5"/>
        <v>2.7102001876061568</v>
      </c>
      <c r="Q25" s="76"/>
      <c r="R25" s="78">
        <f t="shared" si="8"/>
        <v>5.051634001191907E-4</v>
      </c>
    </row>
    <row r="26" spans="1:18" ht="20.100000000000001" customHeight="1">
      <c r="A26" s="80"/>
      <c r="B26" s="81"/>
      <c r="C26" s="81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s="4" customFormat="1" ht="20.100000000000001" customHeight="1">
      <c r="A27" s="68">
        <v>150</v>
      </c>
      <c r="B27" s="69">
        <f t="shared" ref="B27:B36" si="30">IF(OR(A27="",A27=0,A27&lt;0),"--",DEGREES(2*(ATAN(Horz/2/A27))))</f>
        <v>13.61023098639078</v>
      </c>
      <c r="C27" s="69">
        <f t="shared" ref="C27:C36" si="31">IF(OR(A27="",A27=0,A27&lt;0),"--",DEGREES(2*(ATAN(Vert/2/A27))))</f>
        <v>9.1098872365285768</v>
      </c>
      <c r="D27" s="70">
        <f>IF(OR(A27="",A27=0,A27&lt;0),"--",DEGREES(2*(ATAN(Diagonal/2/A27))))</f>
        <v>16.33042380374977</v>
      </c>
      <c r="E27" s="26"/>
      <c r="F27" s="5" t="s">
        <v>41</v>
      </c>
      <c r="G27" s="5"/>
      <c r="H27" s="5"/>
      <c r="K27" s="10">
        <f>B27/C27</f>
        <v>1.4940065264273359</v>
      </c>
      <c r="L27" s="10">
        <f t="shared" ref="L27:L36" si="32">K27/HV</f>
        <v>0.99739541848081925</v>
      </c>
      <c r="N27" s="11">
        <f t="shared" ref="N27:N36" si="33">DEGREES(Horz/A27)</f>
        <v>13.674592710455647</v>
      </c>
      <c r="O27" s="11">
        <f t="shared" ref="O27:O36" si="34">DEGREES(Vert/A27)</f>
        <v>9.1291275357511168</v>
      </c>
      <c r="P27" s="11">
        <f t="shared" ref="P27:P36" si="35">DEGREES(Diagonal/A27)</f>
        <v>16.441881138144019</v>
      </c>
      <c r="R27" s="67">
        <f t="shared" ref="R27:R36" si="36">P27-D27</f>
        <v>0.11145733439424887</v>
      </c>
    </row>
    <row r="28" spans="1:18" s="12" customFormat="1" ht="20.100000000000001" customHeight="1">
      <c r="A28" s="34">
        <v>200</v>
      </c>
      <c r="B28" s="65">
        <f t="shared" si="30"/>
        <v>10.228691170602362</v>
      </c>
      <c r="C28" s="65">
        <f t="shared" si="31"/>
        <v>6.8387151715458554</v>
      </c>
      <c r="D28" s="66">
        <f t="shared" ref="D28:D36" si="37">IF(OR(A28="",A28=0,A28&lt;0),"--",DEGREES(2*(ATAN(Diagonal/2/A28))))</f>
        <v>12.284138349266271</v>
      </c>
      <c r="E28" s="31"/>
      <c r="F28" s="7" t="s">
        <v>10</v>
      </c>
      <c r="G28" s="6"/>
      <c r="H28" s="6"/>
      <c r="K28" s="10">
        <f t="shared" ref="K28:K36" si="38">B28/C28</f>
        <v>1.4957036393563121</v>
      </c>
      <c r="L28" s="10">
        <f t="shared" si="32"/>
        <v>0.99852840727977266</v>
      </c>
      <c r="N28" s="11">
        <f t="shared" si="33"/>
        <v>10.255944532841735</v>
      </c>
      <c r="O28" s="11">
        <f t="shared" si="34"/>
        <v>6.8468456518133376</v>
      </c>
      <c r="P28" s="11">
        <f t="shared" si="35"/>
        <v>12.331410853608013</v>
      </c>
      <c r="R28" s="67">
        <f t="shared" si="36"/>
        <v>4.7272504341741239E-2</v>
      </c>
    </row>
    <row r="29" spans="1:18" s="4" customFormat="1" ht="20.100000000000001" customHeight="1">
      <c r="A29" s="32">
        <v>250</v>
      </c>
      <c r="B29" s="63">
        <f t="shared" si="30"/>
        <v>8.1907778718258779</v>
      </c>
      <c r="C29" s="63">
        <f t="shared" si="31"/>
        <v>5.4733105120083261</v>
      </c>
      <c r="D29" s="64">
        <f t="shared" si="37"/>
        <v>9.8408650169076459</v>
      </c>
      <c r="E29" s="31"/>
      <c r="F29" s="7" t="s">
        <v>10</v>
      </c>
      <c r="G29" s="6"/>
      <c r="H29" s="6"/>
      <c r="K29" s="10">
        <f t="shared" si="38"/>
        <v>1.4964942796239107</v>
      </c>
      <c r="L29" s="10">
        <f t="shared" si="32"/>
        <v>0.99905623695562751</v>
      </c>
      <c r="N29" s="11">
        <f t="shared" si="33"/>
        <v>8.2047556262733892</v>
      </c>
      <c r="O29" s="11">
        <f t="shared" si="34"/>
        <v>5.4774765214506695</v>
      </c>
      <c r="P29" s="11">
        <f t="shared" si="35"/>
        <v>9.8651286828864109</v>
      </c>
      <c r="R29" s="67">
        <f t="shared" si="36"/>
        <v>2.4263665978764948E-2</v>
      </c>
    </row>
    <row r="30" spans="1:18" s="4" customFormat="1" ht="20.100000000000001" customHeight="1">
      <c r="A30" s="33">
        <v>300</v>
      </c>
      <c r="B30" s="65">
        <f t="shared" si="30"/>
        <v>6.8291997980816372</v>
      </c>
      <c r="C30" s="65">
        <f t="shared" si="31"/>
        <v>4.5621518742984675</v>
      </c>
      <c r="D30" s="66">
        <f t="shared" si="37"/>
        <v>8.2068801026269433</v>
      </c>
      <c r="E30" s="31"/>
      <c r="F30" s="7" t="s">
        <v>10</v>
      </c>
      <c r="G30" s="6"/>
      <c r="H30" s="6"/>
      <c r="K30" s="10">
        <f t="shared" si="38"/>
        <v>1.4969251323163761</v>
      </c>
      <c r="L30" s="10">
        <f t="shared" si="32"/>
        <v>0.99934387325031815</v>
      </c>
      <c r="N30" s="11">
        <f t="shared" si="33"/>
        <v>6.8372963552278234</v>
      </c>
      <c r="O30" s="11">
        <f t="shared" si="34"/>
        <v>4.5645637678755584</v>
      </c>
      <c r="P30" s="11">
        <f t="shared" si="35"/>
        <v>8.2209405690720097</v>
      </c>
      <c r="R30" s="67">
        <f t="shared" si="36"/>
        <v>1.4060466445066311E-2</v>
      </c>
    </row>
    <row r="31" spans="1:18" s="4" customFormat="1" ht="20.100000000000001" customHeight="1">
      <c r="A31" s="32">
        <v>350</v>
      </c>
      <c r="B31" s="63">
        <f t="shared" si="30"/>
        <v>5.8554381435729619</v>
      </c>
      <c r="C31" s="63">
        <f t="shared" si="31"/>
        <v>3.910963986273611</v>
      </c>
      <c r="D31" s="64">
        <f t="shared" si="37"/>
        <v>7.0376588527227097</v>
      </c>
      <c r="E31" s="31"/>
      <c r="F31" s="7" t="s">
        <v>10</v>
      </c>
      <c r="G31" s="6"/>
      <c r="H31" s="6"/>
      <c r="K31" s="10">
        <f t="shared" si="38"/>
        <v>1.4971853906412615</v>
      </c>
      <c r="L31" s="10">
        <f t="shared" si="32"/>
        <v>0.99951762112642883</v>
      </c>
      <c r="N31" s="11">
        <f t="shared" si="33"/>
        <v>5.8605397330524198</v>
      </c>
      <c r="O31" s="11">
        <f t="shared" si="34"/>
        <v>3.9124832296076213</v>
      </c>
      <c r="P31" s="11">
        <f t="shared" si="35"/>
        <v>7.0465204877760081</v>
      </c>
      <c r="R31" s="67">
        <f t="shared" si="36"/>
        <v>8.8616350532984001E-3</v>
      </c>
    </row>
    <row r="32" spans="1:18" s="4" customFormat="1" ht="20.100000000000001" customHeight="1">
      <c r="A32" s="34">
        <v>400</v>
      </c>
      <c r="B32" s="65">
        <f t="shared" si="30"/>
        <v>5.1245533451232204</v>
      </c>
      <c r="C32" s="65">
        <f t="shared" si="31"/>
        <v>3.4224048848470372</v>
      </c>
      <c r="D32" s="66">
        <f t="shared" si="37"/>
        <v>6.1597656747209779</v>
      </c>
      <c r="E32" s="31"/>
      <c r="F32" s="7" t="s">
        <v>10</v>
      </c>
      <c r="G32" s="6"/>
      <c r="H32" s="6"/>
      <c r="K32" s="10">
        <f t="shared" si="38"/>
        <v>1.4973544970709274</v>
      </c>
      <c r="L32" s="10">
        <f t="shared" si="32"/>
        <v>0.9996305162009822</v>
      </c>
      <c r="N32" s="11">
        <f t="shared" si="33"/>
        <v>5.1279722664208673</v>
      </c>
      <c r="O32" s="11">
        <f t="shared" si="34"/>
        <v>3.4234228259066688</v>
      </c>
      <c r="P32" s="11">
        <f t="shared" si="35"/>
        <v>6.1657054268040064</v>
      </c>
      <c r="R32" s="67">
        <f t="shared" si="36"/>
        <v>5.9397520830284378E-3</v>
      </c>
    </row>
    <row r="33" spans="1:18" s="4" customFormat="1" ht="20.100000000000001" customHeight="1">
      <c r="A33" s="55">
        <v>450</v>
      </c>
      <c r="B33" s="63">
        <f t="shared" si="30"/>
        <v>4.5557957477461359</v>
      </c>
      <c r="C33" s="63">
        <f t="shared" si="31"/>
        <v>3.0423274990726008</v>
      </c>
      <c r="D33" s="64">
        <f t="shared" si="37"/>
        <v>5.4764538504485261</v>
      </c>
      <c r="E33" s="26"/>
      <c r="F33" s="8" t="s">
        <v>10</v>
      </c>
      <c r="K33" s="10">
        <f t="shared" si="38"/>
        <v>1.4974705218734303</v>
      </c>
      <c r="L33" s="10">
        <f t="shared" si="32"/>
        <v>0.9997079740998599</v>
      </c>
      <c r="N33" s="11">
        <f t="shared" si="33"/>
        <v>4.558197570151882</v>
      </c>
      <c r="O33" s="11">
        <f t="shared" si="34"/>
        <v>3.0430425119170388</v>
      </c>
      <c r="P33" s="11">
        <f t="shared" si="35"/>
        <v>5.4806270460480055</v>
      </c>
      <c r="R33" s="67">
        <f t="shared" si="36"/>
        <v>4.1731955994794845E-3</v>
      </c>
    </row>
    <row r="34" spans="1:18" s="4" customFormat="1" ht="20.100000000000001" customHeight="1">
      <c r="A34" s="33">
        <v>500</v>
      </c>
      <c r="B34" s="65">
        <f t="shared" si="30"/>
        <v>4.1006265691180586</v>
      </c>
      <c r="C34" s="65">
        <f t="shared" si="31"/>
        <v>2.738216974478056</v>
      </c>
      <c r="D34" s="66">
        <f t="shared" si="37"/>
        <v>4.929521289771813</v>
      </c>
      <c r="E34" s="26"/>
      <c r="F34" s="8" t="s">
        <v>10</v>
      </c>
      <c r="K34" s="10">
        <f t="shared" si="38"/>
        <v>1.4975535566898228</v>
      </c>
      <c r="L34" s="10">
        <f t="shared" si="32"/>
        <v>0.99976340795773089</v>
      </c>
      <c r="N34" s="11">
        <f t="shared" si="33"/>
        <v>4.1023778131366946</v>
      </c>
      <c r="O34" s="11">
        <f t="shared" si="34"/>
        <v>2.7387382607253348</v>
      </c>
      <c r="P34" s="11">
        <f t="shared" si="35"/>
        <v>4.9325643414432054</v>
      </c>
      <c r="R34" s="67">
        <f t="shared" si="36"/>
        <v>3.043051671392405E-3</v>
      </c>
    </row>
    <row r="35" spans="1:18" s="4" customFormat="1" ht="20.100000000000001" customHeight="1">
      <c r="A35" s="32">
        <v>550</v>
      </c>
      <c r="B35" s="63">
        <f t="shared" si="30"/>
        <v>3.7281184645879284</v>
      </c>
      <c r="C35" s="63">
        <f t="shared" si="31"/>
        <v>2.4893703818452511</v>
      </c>
      <c r="D35" s="64">
        <f t="shared" si="37"/>
        <v>4.4818626710064935</v>
      </c>
      <c r="E35" s="26"/>
      <c r="F35" s="8" t="s">
        <v>10</v>
      </c>
      <c r="K35" s="10">
        <f t="shared" si="38"/>
        <v>1.4976150161409298</v>
      </c>
      <c r="L35" s="10">
        <f t="shared" si="32"/>
        <v>0.99980443814995035</v>
      </c>
      <c r="N35" s="11">
        <f t="shared" si="33"/>
        <v>3.7294343755788129</v>
      </c>
      <c r="O35" s="11">
        <f t="shared" si="34"/>
        <v>2.4897620552048498</v>
      </c>
      <c r="P35" s="11">
        <f t="shared" si="35"/>
        <v>4.4841494013120045</v>
      </c>
      <c r="R35" s="67">
        <f t="shared" si="36"/>
        <v>2.2867303055109645E-3</v>
      </c>
    </row>
    <row r="36" spans="1:18" s="4" customFormat="1" ht="20.100000000000001" customHeight="1">
      <c r="A36" s="71">
        <v>600</v>
      </c>
      <c r="B36" s="72">
        <f t="shared" si="30"/>
        <v>3.4176344882723688</v>
      </c>
      <c r="C36" s="72">
        <f t="shared" si="31"/>
        <v>2.2819801820753329</v>
      </c>
      <c r="D36" s="73">
        <f t="shared" si="37"/>
        <v>4.1087086617376123</v>
      </c>
      <c r="E36" s="74"/>
      <c r="F36" s="75" t="s">
        <v>10</v>
      </c>
      <c r="G36" s="76"/>
      <c r="H36" s="76"/>
      <c r="I36" s="76"/>
      <c r="J36" s="76"/>
      <c r="K36" s="77">
        <f t="shared" si="38"/>
        <v>1.4976617742421505</v>
      </c>
      <c r="L36" s="77">
        <f t="shared" si="32"/>
        <v>0.99983565375383787</v>
      </c>
      <c r="M36" s="76"/>
      <c r="N36" s="78">
        <f t="shared" si="33"/>
        <v>3.4186481776139117</v>
      </c>
      <c r="O36" s="78">
        <f t="shared" si="34"/>
        <v>2.2822818839377792</v>
      </c>
      <c r="P36" s="78">
        <f t="shared" si="35"/>
        <v>4.1104702845360048</v>
      </c>
      <c r="Q36" s="76"/>
      <c r="R36" s="79">
        <f t="shared" si="36"/>
        <v>1.761622798392537E-3</v>
      </c>
    </row>
  </sheetData>
  <sheetProtection sheet="1" objects="1" scenarios="1"/>
  <mergeCells count="7">
    <mergeCell ref="N7:P7"/>
    <mergeCell ref="A6:C6"/>
    <mergeCell ref="A5:C5"/>
    <mergeCell ref="A1:D1"/>
    <mergeCell ref="A2:C2"/>
    <mergeCell ref="A3:C3"/>
    <mergeCell ref="A4:C4"/>
  </mergeCells>
  <phoneticPr fontId="1" type="noConversion"/>
  <printOptions horizontalCentered="1"/>
  <pageMargins left="0.75" right="0.75" top="2" bottom="1" header="0.25" footer="0.5"/>
  <pageSetup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6D Field Angles</vt:lpstr>
      <vt:lpstr>Diagonal</vt:lpstr>
      <vt:lpstr>Film</vt:lpstr>
      <vt:lpstr>Horz</vt:lpstr>
      <vt:lpstr>HV</vt:lpstr>
      <vt:lpstr>Vert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35 mm Frame Size</dc:title>
  <dc:creator>Joe Stieber</dc:creator>
  <cp:lastModifiedBy>Joe Stieber</cp:lastModifiedBy>
  <cp:lastPrinted>2013-03-11T15:43:01Z</cp:lastPrinted>
  <dcterms:created xsi:type="dcterms:W3CDTF">2002-12-14T05:23:15Z</dcterms:created>
  <dcterms:modified xsi:type="dcterms:W3CDTF">2017-11-25T03:14:58Z</dcterms:modified>
</cp:coreProperties>
</file>